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rk\JordanFollowup\OKP\Course_WatVal\Preparing_OwnLecture\Exercises_Excel\"/>
    </mc:Choice>
  </mc:AlternateContent>
  <xr:revisionPtr revIDLastSave="0" documentId="13_ncr:1_{F18D0738-7949-4ADF-A049-2D3C4867B0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tro" sheetId="4" r:id="rId1"/>
    <sheet name="Dat" sheetId="2" r:id="rId2"/>
    <sheet name="FarmModel" sheetId="1" r:id="rId3"/>
    <sheet name="Shadowprice" sheetId="3" r:id="rId4"/>
  </sheets>
  <definedNames>
    <definedName name="solver_adj" localSheetId="2" hidden="1">FarmModel!$C$4:$C$15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FarmModel!$F$10</definedName>
    <definedName name="solver_lhs10" localSheetId="2" hidden="1">FarmModel!$F$19</definedName>
    <definedName name="solver_lhs11" localSheetId="2" hidden="1">FarmModel!$F$20</definedName>
    <definedName name="solver_lhs12" localSheetId="2" hidden="1">FarmModel!$F$21</definedName>
    <definedName name="solver_lhs13" localSheetId="2" hidden="1">FarmModel!$F$7</definedName>
    <definedName name="solver_lhs14" localSheetId="2" hidden="1">FarmModel!$F$8</definedName>
    <definedName name="solver_lhs15" localSheetId="2" hidden="1">FarmModel!$F$9</definedName>
    <definedName name="solver_lhs2" localSheetId="2" hidden="1">FarmModel!$F$11</definedName>
    <definedName name="solver_lhs3" localSheetId="2" hidden="1">FarmModel!$F$12</definedName>
    <definedName name="solver_lhs4" localSheetId="2" hidden="1">FarmModel!$F$13</definedName>
    <definedName name="solver_lhs5" localSheetId="2" hidden="1">FarmModel!$F$14</definedName>
    <definedName name="solver_lhs6" localSheetId="2" hidden="1">FarmModel!$F$15</definedName>
    <definedName name="solver_lhs7" localSheetId="2" hidden="1">FarmModel!$F$16</definedName>
    <definedName name="solver_lhs8" localSheetId="2" hidden="1">FarmModel!$F$17</definedName>
    <definedName name="solver_lhs9" localSheetId="2" hidden="1">FarmModel!$F$18</definedName>
    <definedName name="solver_mip" localSheetId="2" hidden="1">2147483647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15</definedName>
    <definedName name="solver_nwt" localSheetId="2" hidden="1">1</definedName>
    <definedName name="solver_opt" localSheetId="2" hidden="1">FarmModel!$G$4</definedName>
    <definedName name="solver_rbv" localSheetId="2" hidden="1">2</definedName>
    <definedName name="solver_rel1" localSheetId="2" hidden="1">3</definedName>
    <definedName name="solver_rel10" localSheetId="2" hidden="1">3</definedName>
    <definedName name="solver_rel11" localSheetId="2" hidden="1">3</definedName>
    <definedName name="solver_rel12" localSheetId="2" hidden="1">3</definedName>
    <definedName name="solver_rel13" localSheetId="2" hidden="1">1</definedName>
    <definedName name="solver_rel14" localSheetId="2" hidden="1">1</definedName>
    <definedName name="solver_rel15" localSheetId="2" hidden="1">1</definedName>
    <definedName name="solver_rel2" localSheetId="2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2" hidden="1">FarmModel!$H$10</definedName>
    <definedName name="solver_rhs10" localSheetId="2" hidden="1">FarmModel!$H$19</definedName>
    <definedName name="solver_rhs11" localSheetId="2" hidden="1">FarmModel!$H$20</definedName>
    <definedName name="solver_rhs12" localSheetId="2" hidden="1">FarmModel!$H$21</definedName>
    <definedName name="solver_rhs13" localSheetId="2" hidden="1">FarmModel!$H$7</definedName>
    <definedName name="solver_rhs14" localSheetId="2" hidden="1">FarmModel!$H$8</definedName>
    <definedName name="solver_rhs15" localSheetId="2" hidden="1">FarmModel!$H$9</definedName>
    <definedName name="solver_rhs2" localSheetId="2" hidden="1">FarmModel!$H$11</definedName>
    <definedName name="solver_rhs3" localSheetId="2" hidden="1">FarmModel!$H$12</definedName>
    <definedName name="solver_rhs4" localSheetId="2" hidden="1">FarmModel!$H$13</definedName>
    <definedName name="solver_rhs5" localSheetId="2" hidden="1">FarmModel!$H$14</definedName>
    <definedName name="solver_rhs6" localSheetId="2" hidden="1">FarmModel!$H$15</definedName>
    <definedName name="solver_rhs7" localSheetId="2" hidden="1">FarmModel!$H$16</definedName>
    <definedName name="solver_rhs8" localSheetId="2" hidden="1">FarmModel!$H$17</definedName>
    <definedName name="solver_rhs9" localSheetId="2" hidden="1">FarmModel!$H$18</definedName>
    <definedName name="solver_rlx" localSheetId="2" hidden="1">2</definedName>
    <definedName name="solver_scl" localSheetId="2" hidden="1">2</definedName>
    <definedName name="solver_sho" localSheetId="2" hidden="1">2</definedName>
    <definedName name="solver_ssz" localSheetId="2" hidden="1">0</definedName>
    <definedName name="solver_tim" localSheetId="2" hidden="1">2147483647</definedName>
    <definedName name="solver_tol" localSheetId="2" hidden="1">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O33" i="2"/>
  <c r="F21" i="1"/>
  <c r="F20" i="1"/>
  <c r="F19" i="1"/>
  <c r="F18" i="1"/>
  <c r="Q24" i="1"/>
  <c r="P24" i="1"/>
  <c r="O24" i="1"/>
  <c r="N24" i="1"/>
  <c r="Q23" i="1"/>
  <c r="P23" i="1"/>
  <c r="O23" i="1"/>
  <c r="N23" i="1"/>
  <c r="I5" i="3" l="1"/>
  <c r="I4" i="3"/>
  <c r="I7" i="3" s="1"/>
  <c r="R13" i="2"/>
  <c r="Q13" i="2"/>
  <c r="P13" i="2"/>
  <c r="O13" i="2"/>
  <c r="N18" i="1"/>
  <c r="O18" i="1"/>
  <c r="P18" i="1"/>
  <c r="Q18" i="1"/>
  <c r="N19" i="1"/>
  <c r="O19" i="1"/>
  <c r="P19" i="1"/>
  <c r="Q19" i="1"/>
  <c r="Q22" i="1"/>
  <c r="P22" i="1"/>
  <c r="O22" i="1"/>
  <c r="N22" i="1"/>
  <c r="Q15" i="1"/>
  <c r="P15" i="1"/>
  <c r="O15" i="1"/>
  <c r="N15" i="1"/>
  <c r="Q13" i="1"/>
  <c r="H13" i="1" s="1"/>
  <c r="P13" i="1"/>
  <c r="H12" i="1" s="1"/>
  <c r="O13" i="1"/>
  <c r="H11" i="1" s="1"/>
  <c r="N13" i="1"/>
  <c r="H10" i="1" s="1"/>
  <c r="Q12" i="1"/>
  <c r="P12" i="1"/>
  <c r="O12" i="1"/>
  <c r="N12" i="1"/>
  <c r="H9" i="1"/>
  <c r="M5" i="1"/>
  <c r="H8" i="1" s="1"/>
  <c r="M4" i="1"/>
  <c r="H7" i="1" s="1"/>
  <c r="O32" i="2"/>
  <c r="O31" i="2"/>
  <c r="H16" i="1" l="1"/>
  <c r="H20" i="1"/>
  <c r="H17" i="1"/>
  <c r="H21" i="1"/>
  <c r="H14" i="1"/>
  <c r="H18" i="1"/>
  <c r="H15" i="1"/>
  <c r="H19" i="1"/>
  <c r="P28" i="1"/>
  <c r="O28" i="1"/>
  <c r="N28" i="1"/>
  <c r="Q28" i="1"/>
  <c r="I18" i="2"/>
  <c r="H18" i="2"/>
  <c r="G18" i="2"/>
  <c r="F18" i="2"/>
  <c r="G4" i="1" l="1"/>
  <c r="I28" i="2"/>
  <c r="H28" i="2"/>
  <c r="G28" i="2"/>
  <c r="F28" i="2"/>
  <c r="I12" i="2"/>
  <c r="I22" i="2" s="1"/>
  <c r="H12" i="2"/>
  <c r="H22" i="2" s="1"/>
  <c r="Q9" i="2" s="1"/>
  <c r="G12" i="2"/>
  <c r="G22" i="2" s="1"/>
  <c r="P9" i="2" s="1"/>
  <c r="F12" i="2"/>
  <c r="F22" i="2" s="1"/>
  <c r="O9" i="2" s="1"/>
  <c r="R9" i="2" l="1"/>
  <c r="H30" i="2"/>
  <c r="I30" i="2"/>
  <c r="F30" i="2"/>
  <c r="G30" i="2"/>
  <c r="F13" i="1"/>
  <c r="F12" i="1"/>
  <c r="F11" i="1"/>
  <c r="F10" i="1"/>
  <c r="F17" i="1"/>
  <c r="F16" i="1"/>
  <c r="F15" i="1"/>
  <c r="F14" i="1"/>
  <c r="F9" i="1"/>
  <c r="F8" i="1"/>
  <c r="F7" i="1"/>
</calcChain>
</file>

<file path=xl/sharedStrings.xml><?xml version="1.0" encoding="utf-8"?>
<sst xmlns="http://schemas.openxmlformats.org/spreadsheetml/2006/main" count="179" uniqueCount="149">
  <si>
    <t>LE</t>
  </si>
  <si>
    <t>Farm model: constrained optimization in several variables</t>
  </si>
  <si>
    <t>Available resources</t>
  </si>
  <si>
    <t>Land in ha</t>
  </si>
  <si>
    <t>Vegetables</t>
  </si>
  <si>
    <t>Cereals</t>
  </si>
  <si>
    <t>Variables</t>
  </si>
  <si>
    <t>area cereals</t>
  </si>
  <si>
    <t>area vegetables</t>
  </si>
  <si>
    <t>ac=</t>
  </si>
  <si>
    <t>av=</t>
  </si>
  <si>
    <t>Objective</t>
  </si>
  <si>
    <t>Constraints</t>
  </si>
  <si>
    <t>Input costs in USD/ha</t>
  </si>
  <si>
    <t>land constraint</t>
  </si>
  <si>
    <t>labor constraint</t>
  </si>
  <si>
    <t>water constraint</t>
  </si>
  <si>
    <t>water cereals</t>
  </si>
  <si>
    <t>wc=</t>
  </si>
  <si>
    <t>wv=</t>
  </si>
  <si>
    <t>water vegetables</t>
  </si>
  <si>
    <t>labor cereals</t>
  </si>
  <si>
    <t>lc=</t>
  </si>
  <si>
    <t>labor vegetables</t>
  </si>
  <si>
    <t>lv=</t>
  </si>
  <si>
    <t>area tubers</t>
  </si>
  <si>
    <t>at=</t>
  </si>
  <si>
    <t>water tubers</t>
  </si>
  <si>
    <t>wt=</t>
  </si>
  <si>
    <t>labor tubers</t>
  </si>
  <si>
    <t>lt=</t>
  </si>
  <si>
    <t>area oilseeds</t>
  </si>
  <si>
    <t>ao=</t>
  </si>
  <si>
    <t>water oilseeds</t>
  </si>
  <si>
    <t>wo=</t>
  </si>
  <si>
    <t>labor oilseeds</t>
  </si>
  <si>
    <t>lo=</t>
  </si>
  <si>
    <t>GE</t>
  </si>
  <si>
    <t>Tubers</t>
  </si>
  <si>
    <t>Oilseeds</t>
  </si>
  <si>
    <t>Fertilizer</t>
  </si>
  <si>
    <t>Services</t>
  </si>
  <si>
    <t>Ex-ante calculations</t>
  </si>
  <si>
    <t>Input data in green</t>
  </si>
  <si>
    <t>cereals</t>
  </si>
  <si>
    <t>vegetables</t>
  </si>
  <si>
    <t>tubers</t>
  </si>
  <si>
    <t>oilseeds</t>
  </si>
  <si>
    <t>Maximal yield in ton/ha</t>
  </si>
  <si>
    <t>ET0: local evapotranspiration in mm</t>
  </si>
  <si>
    <t>Calculated water requirement im m3/ha</t>
  </si>
  <si>
    <t>Calculated scaling factor for water volume</t>
  </si>
  <si>
    <t>Crop yield response to salinity: intercept</t>
  </si>
  <si>
    <t>Calculated scaling factor for salinity</t>
  </si>
  <si>
    <t>Crop output price in USD/kg</t>
  </si>
  <si>
    <t>Observed actual water use in 1000 m3</t>
  </si>
  <si>
    <t>Water in 1000 m3</t>
  </si>
  <si>
    <t>Yield in ton/ha</t>
  </si>
  <si>
    <t>Water requirement in m3/ha</t>
  </si>
  <si>
    <t>Labor in 1000 mandays</t>
  </si>
  <si>
    <t>Crop prices in USD/kg</t>
  </si>
  <si>
    <t>Crop-specific coefficients and prices</t>
  </si>
  <si>
    <t>Year-0 crop shares in total water use</t>
  </si>
  <si>
    <t xml:space="preserve">Year-0 crop areas in ha </t>
  </si>
  <si>
    <t>Calculated water use in m3/ha</t>
  </si>
  <si>
    <t>A. Ex-ante calculation of crop yields as function of water volume and salinity</t>
  </si>
  <si>
    <t>Resulting crop yield in ton/ha</t>
  </si>
  <si>
    <t>Fertilizer use in kg/ha</t>
  </si>
  <si>
    <t>Services in USD/ha</t>
  </si>
  <si>
    <t>Services: unit price</t>
  </si>
  <si>
    <t>Fertilizer price in USD per kg nutrient</t>
  </si>
  <si>
    <t>B. Ex-ante calculation of shadow price of water (by crop, yield-based)</t>
  </si>
  <si>
    <t xml:space="preserve">Resulting shadow price of water </t>
  </si>
  <si>
    <t>in USD/m3  (by crop, yield-based)</t>
  </si>
  <si>
    <t>R=</t>
  </si>
  <si>
    <t>in 1000 USD/ha</t>
  </si>
  <si>
    <t>Calculated net output value</t>
  </si>
  <si>
    <t>Optimal areas in ha:</t>
  </si>
  <si>
    <t>Multiplier water constraint</t>
  </si>
  <si>
    <t>Calculated building stone for ex-post</t>
  </si>
  <si>
    <t>shadow price</t>
  </si>
  <si>
    <t>(chi)</t>
  </si>
  <si>
    <t>(a0)</t>
  </si>
  <si>
    <t>(rsp)</t>
  </si>
  <si>
    <t>(=chi/a0*rsp)</t>
  </si>
  <si>
    <t>Insert optimal outcomes</t>
  </si>
  <si>
    <t>Calculation 'total' shadow price of water</t>
  </si>
  <si>
    <t>Impact via ex-ante yields</t>
  </si>
  <si>
    <t>Impact via water constraint</t>
  </si>
  <si>
    <t>Total shadow price, in USD/m3</t>
  </si>
  <si>
    <t>net revenue in 1000 USD</t>
  </si>
  <si>
    <t>b)  running the farm model in worksheet 'FarmModel'</t>
  </si>
  <si>
    <t xml:space="preserve">c)  calculating the shadow prices in worksheet 'Shadowprice' </t>
  </si>
  <si>
    <t xml:space="preserve">  -  ex-post calculation of the 'total' shadow price of water</t>
  </si>
  <si>
    <t xml:space="preserve">  -  solving the farm model taking the ex-ante crop yields as given</t>
  </si>
  <si>
    <r>
      <t xml:space="preserve">Intermediate outcomes are shown in black, final results in </t>
    </r>
    <r>
      <rPr>
        <b/>
        <sz val="11"/>
        <color rgb="FFC0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. </t>
    </r>
  </si>
  <si>
    <t xml:space="preserve">  -  ex-ante calculations of crop yields and crop-specific shadow prices of water</t>
  </si>
  <si>
    <t>All text cells and calculations in this worksheet are protected.</t>
  </si>
  <si>
    <t>The worksheet 'FarmModel' is not protected.</t>
  </si>
  <si>
    <t>The variables of the model (with their initial values) are specified on the left-hand side.</t>
  </si>
  <si>
    <t>The equations are specified in the middle part. The formulae can be seen by moving the cursor to the cells of the objective and constraints.</t>
  </si>
  <si>
    <t>a)  input of data in worksheet 'Dat'</t>
  </si>
  <si>
    <r>
      <t xml:space="preserve">The input data in worksheet 'Dat' are specified in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>. They can be adjusted.</t>
    </r>
  </si>
  <si>
    <t xml:space="preserve">The data used by the model are specified on the right-hand side and calculated from the cells in worksheet 'Dat' </t>
  </si>
  <si>
    <t>WORKSHEET Dat</t>
  </si>
  <si>
    <t>WORKSHEET FarmModel</t>
  </si>
  <si>
    <t>WORKSHEET Shadowprice</t>
  </si>
  <si>
    <r>
      <t xml:space="preserve">The input data in worksheet 'Shadowprice' are specified in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. They must be replaced by the outcomes of the farm model. </t>
    </r>
  </si>
  <si>
    <t xml:space="preserve">The results are shown in red. </t>
  </si>
  <si>
    <t>SOLVING THE MODEL</t>
  </si>
  <si>
    <t>AFTER OBTAINING THE SOLUTION</t>
  </si>
  <si>
    <t xml:space="preserve"> -  indicate whether you want to replace the initial value of the variables by the optimal outcomes</t>
  </si>
  <si>
    <t xml:space="preserve"> -  go to worksheet 'FarmModel'</t>
  </si>
  <si>
    <t xml:space="preserve"> -  select the 'Data' tab and press then 'Solver' in the subgroup Analyze</t>
  </si>
  <si>
    <t xml:space="preserve"> -  a window with the model specification pops up. </t>
  </si>
  <si>
    <t xml:space="preserve"> -  by default, the model is as shown in the worksheet. Adjustments are possible (e.g. leaving out a constraint)</t>
  </si>
  <si>
    <t xml:space="preserve"> -  press 'Solve' to calculate the solution</t>
  </si>
  <si>
    <t xml:space="preserve"> -  indicate that the Answer report and the Sensitivity report must be maintained</t>
  </si>
  <si>
    <t xml:space="preserve"> -  use the Answer report (new worksheet) to insert the optimal areas in worksheet 'Shadowprice'</t>
  </si>
  <si>
    <t xml:space="preserve"> -  use the Sensitivity report (new worksheet) to insert the multiplier of the water constraint in worksheet 'Shadowprice'</t>
  </si>
  <si>
    <t xml:space="preserve"> -  then, the resulting 'Total' shadow price is shown in red</t>
  </si>
  <si>
    <t>Basic labor use in mandays/ha</t>
  </si>
  <si>
    <t>Threshold for increased labor use, in ha</t>
  </si>
  <si>
    <t>Denominator for increased labor use, in ha</t>
  </si>
  <si>
    <t>Basic needs in manday/ha</t>
  </si>
  <si>
    <t>Labor needs</t>
  </si>
  <si>
    <t>Threshold increased use, in ha</t>
  </si>
  <si>
    <t>Denominator increased use, in ha</t>
  </si>
  <si>
    <t>labor cereals linear</t>
  </si>
  <si>
    <t>labor vegetables linear</t>
  </si>
  <si>
    <t>labor tubers linear</t>
  </si>
  <si>
    <t>labor oilseeds linear</t>
  </si>
  <si>
    <t>labor cereals quadratic</t>
  </si>
  <si>
    <t>labor vegetables quadratic</t>
  </si>
  <si>
    <t>labor tubers quadratic</t>
  </si>
  <si>
    <t>labor oilseeds quadratic</t>
  </si>
  <si>
    <t xml:space="preserve"> -  select the non-linear solving method</t>
  </si>
  <si>
    <t>C. Model parameters (input coefficients, prices, resources)</t>
  </si>
  <si>
    <t xml:space="preserve">     Area in ha</t>
  </si>
  <si>
    <t xml:space="preserve">     Labor in 1000 mandays</t>
  </si>
  <si>
    <t xml:space="preserve">     Water in 1000 m3</t>
  </si>
  <si>
    <t>Model resources (derived from input use in year-0)</t>
  </si>
  <si>
    <t>(crop value minus fertilizer and services costs)</t>
  </si>
  <si>
    <t>The exercise in this file has three components:</t>
  </si>
  <si>
    <t>The calculations are as explained in the lecture and in file Text_exercise.pdf:</t>
  </si>
  <si>
    <t>Crop water requirement factors (Kc)</t>
  </si>
  <si>
    <t>Crop yield response factors to water volume (Ky)</t>
  </si>
  <si>
    <t>Crop yield response to salinity: coefficient Ks</t>
  </si>
  <si>
    <t>Observed actual salinity in dS/m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</si>
</sst>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indent="2"/>
    </xf>
    <xf numFmtId="0" fontId="4" fillId="0" borderId="0" xfId="0" applyFont="1" applyAlignment="1">
      <alignment horizontal="right" indent="2"/>
    </xf>
    <xf numFmtId="164" fontId="3" fillId="0" borderId="0" xfId="0" applyNumberFormat="1" applyFont="1" applyAlignment="1">
      <alignment horizontal="right" indent="2"/>
    </xf>
    <xf numFmtId="2" fontId="3" fillId="0" borderId="0" xfId="0" applyNumberFormat="1" applyFont="1" applyAlignment="1">
      <alignment horizontal="right" indent="2"/>
    </xf>
    <xf numFmtId="0" fontId="5" fillId="0" borderId="0" xfId="0" applyFont="1"/>
    <xf numFmtId="0" fontId="5" fillId="0" borderId="0" xfId="0" applyFont="1" applyAlignment="1">
      <alignment horizontal="right" indent="2"/>
    </xf>
    <xf numFmtId="2" fontId="5" fillId="0" borderId="0" xfId="0" applyNumberFormat="1" applyFont="1" applyAlignment="1">
      <alignment horizontal="right" indent="2"/>
    </xf>
    <xf numFmtId="1" fontId="0" fillId="0" borderId="0" xfId="0" applyNumberFormat="1" applyAlignment="1">
      <alignment horizontal="right" indent="2"/>
    </xf>
    <xf numFmtId="0" fontId="6" fillId="0" borderId="0" xfId="0" applyFont="1"/>
    <xf numFmtId="0" fontId="0" fillId="0" borderId="1" xfId="0" applyBorder="1" applyAlignment="1">
      <alignment horizontal="center"/>
    </xf>
    <xf numFmtId="0" fontId="7" fillId="0" borderId="0" xfId="0" applyNumberFormat="1" applyFont="1" applyAlignment="1">
      <alignment horizontal="right" indent="2"/>
    </xf>
    <xf numFmtId="2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2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6" fillId="0" borderId="0" xfId="0" applyNumberFormat="1" applyFont="1" applyAlignment="1">
      <alignment horizontal="right" indent="1"/>
    </xf>
    <xf numFmtId="2" fontId="4" fillId="0" borderId="0" xfId="0" applyNumberFormat="1" applyFont="1" applyAlignment="1" applyProtection="1">
      <alignment horizontal="right" indent="2"/>
      <protection locked="0"/>
    </xf>
    <xf numFmtId="0" fontId="4" fillId="0" borderId="0" xfId="0" applyFont="1" applyAlignment="1" applyProtection="1">
      <alignment horizontal="right" indent="2"/>
      <protection locked="0"/>
    </xf>
    <xf numFmtId="0" fontId="7" fillId="0" borderId="0" xfId="0" applyNumberFormat="1" applyFont="1" applyAlignment="1" applyProtection="1">
      <alignment horizontal="right" indent="2"/>
      <protection locked="0"/>
    </xf>
    <xf numFmtId="2" fontId="7" fillId="0" borderId="0" xfId="0" applyNumberFormat="1" applyFont="1" applyAlignment="1" applyProtection="1">
      <alignment horizontal="right" indent="2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right" indent="1"/>
      <protection locked="0"/>
    </xf>
    <xf numFmtId="0" fontId="8" fillId="0" borderId="0" xfId="0" applyFont="1"/>
    <xf numFmtId="165" fontId="7" fillId="0" borderId="0" xfId="0" applyNumberFormat="1" applyFont="1" applyAlignment="1" applyProtection="1">
      <alignment horizontal="right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/>
  </sheetViews>
  <sheetFormatPr defaultRowHeight="14.4" x14ac:dyDescent="0.3"/>
  <sheetData>
    <row r="1" spans="1:10" x14ac:dyDescent="0.3">
      <c r="A1" t="s">
        <v>143</v>
      </c>
      <c r="J1" s="30" t="s">
        <v>104</v>
      </c>
    </row>
    <row r="2" spans="1:10" x14ac:dyDescent="0.3">
      <c r="J2" t="s">
        <v>102</v>
      </c>
    </row>
    <row r="3" spans="1:10" x14ac:dyDescent="0.3">
      <c r="A3" t="s">
        <v>101</v>
      </c>
      <c r="J3" t="s">
        <v>97</v>
      </c>
    </row>
    <row r="4" spans="1:10" x14ac:dyDescent="0.3">
      <c r="A4" t="s">
        <v>91</v>
      </c>
      <c r="J4" t="s">
        <v>95</v>
      </c>
    </row>
    <row r="5" spans="1:10" x14ac:dyDescent="0.3">
      <c r="A5" t="s">
        <v>92</v>
      </c>
    </row>
    <row r="6" spans="1:10" x14ac:dyDescent="0.3">
      <c r="J6" s="30" t="s">
        <v>105</v>
      </c>
    </row>
    <row r="7" spans="1:10" x14ac:dyDescent="0.3">
      <c r="A7" t="s">
        <v>144</v>
      </c>
      <c r="J7" t="s">
        <v>98</v>
      </c>
    </row>
    <row r="8" spans="1:10" x14ac:dyDescent="0.3">
      <c r="A8" t="s">
        <v>96</v>
      </c>
      <c r="J8" t="s">
        <v>99</v>
      </c>
    </row>
    <row r="9" spans="1:10" x14ac:dyDescent="0.3">
      <c r="A9" t="s">
        <v>94</v>
      </c>
      <c r="J9" t="s">
        <v>100</v>
      </c>
    </row>
    <row r="10" spans="1:10" x14ac:dyDescent="0.3">
      <c r="A10" t="s">
        <v>93</v>
      </c>
      <c r="J10" t="s">
        <v>103</v>
      </c>
    </row>
    <row r="12" spans="1:10" x14ac:dyDescent="0.3">
      <c r="J12" s="30" t="s">
        <v>106</v>
      </c>
    </row>
    <row r="13" spans="1:10" x14ac:dyDescent="0.3">
      <c r="J13" t="s">
        <v>107</v>
      </c>
    </row>
    <row r="14" spans="1:10" x14ac:dyDescent="0.3">
      <c r="J14" t="s">
        <v>97</v>
      </c>
    </row>
    <row r="15" spans="1:10" x14ac:dyDescent="0.3">
      <c r="J15" t="s">
        <v>108</v>
      </c>
    </row>
    <row r="17" spans="1:1" x14ac:dyDescent="0.3">
      <c r="A17" t="s">
        <v>109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136</v>
      </c>
    </row>
    <row r="23" spans="1:1" x14ac:dyDescent="0.3">
      <c r="A23" t="s">
        <v>116</v>
      </c>
    </row>
    <row r="25" spans="1:1" x14ac:dyDescent="0.3">
      <c r="A25" t="s">
        <v>110</v>
      </c>
    </row>
    <row r="26" spans="1:1" x14ac:dyDescent="0.3">
      <c r="A26" t="s">
        <v>111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3"/>
  <sheetViews>
    <sheetView workbookViewId="0"/>
  </sheetViews>
  <sheetFormatPr defaultRowHeight="14.4" x14ac:dyDescent="0.3"/>
  <cols>
    <col min="1" max="9" width="10.6640625" customWidth="1"/>
    <col min="11" max="19" width="10.6640625" customWidth="1"/>
  </cols>
  <sheetData>
    <row r="1" spans="1:20" x14ac:dyDescent="0.3">
      <c r="A1" s="5" t="s">
        <v>43</v>
      </c>
    </row>
    <row r="3" spans="1:20" x14ac:dyDescent="0.3">
      <c r="A3" s="3" t="s">
        <v>65</v>
      </c>
      <c r="B3" s="4"/>
      <c r="C3" s="4"/>
      <c r="D3" s="4"/>
      <c r="E3" s="4"/>
      <c r="F3" s="4"/>
      <c r="G3" s="4"/>
      <c r="H3" s="4"/>
      <c r="I3" s="4"/>
      <c r="K3" s="3" t="s">
        <v>71</v>
      </c>
      <c r="L3" s="4"/>
      <c r="M3" s="4"/>
      <c r="N3" s="4"/>
      <c r="O3" s="4"/>
      <c r="P3" s="4"/>
      <c r="Q3" s="4"/>
      <c r="R3" s="4"/>
      <c r="S3" s="4"/>
      <c r="T3" s="4"/>
    </row>
    <row r="4" spans="1:20" x14ac:dyDescent="0.3">
      <c r="A4" s="4"/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3">
      <c r="B5" s="4"/>
      <c r="C5" s="4"/>
      <c r="D5" s="4"/>
      <c r="E5" s="4"/>
      <c r="F5" s="6" t="s">
        <v>44</v>
      </c>
      <c r="G5" s="6" t="s">
        <v>45</v>
      </c>
      <c r="H5" s="6" t="s">
        <v>46</v>
      </c>
      <c r="I5" s="6" t="s">
        <v>47</v>
      </c>
      <c r="O5" s="6" t="s">
        <v>44</v>
      </c>
      <c r="P5" s="6" t="s">
        <v>45</v>
      </c>
      <c r="Q5" s="6" t="s">
        <v>46</v>
      </c>
      <c r="R5" s="6" t="s">
        <v>47</v>
      </c>
    </row>
    <row r="6" spans="1:20" x14ac:dyDescent="0.3">
      <c r="A6" s="4"/>
      <c r="B6" s="4"/>
      <c r="C6" s="4"/>
      <c r="D6" s="4"/>
      <c r="E6" s="4"/>
      <c r="F6" s="4"/>
      <c r="G6" s="4"/>
      <c r="H6" s="4"/>
      <c r="I6" s="4"/>
    </row>
    <row r="7" spans="1:20" x14ac:dyDescent="0.3">
      <c r="A7" s="4" t="s">
        <v>48</v>
      </c>
      <c r="B7" s="4"/>
      <c r="C7" s="4"/>
      <c r="D7" s="4"/>
      <c r="E7" s="7"/>
      <c r="F7" s="23">
        <v>6</v>
      </c>
      <c r="G7" s="23">
        <v>25</v>
      </c>
      <c r="H7" s="23">
        <v>40</v>
      </c>
      <c r="I7" s="23">
        <v>5</v>
      </c>
      <c r="K7" s="4" t="s">
        <v>54</v>
      </c>
      <c r="L7" s="4"/>
      <c r="M7" s="4"/>
      <c r="N7" s="4"/>
      <c r="O7" s="23">
        <v>0.35</v>
      </c>
      <c r="P7" s="23">
        <v>0.55000000000000004</v>
      </c>
      <c r="Q7" s="23">
        <v>0.2</v>
      </c>
      <c r="R7" s="23">
        <v>1.1000000000000001</v>
      </c>
    </row>
    <row r="8" spans="1:20" x14ac:dyDescent="0.3">
      <c r="A8" s="4"/>
      <c r="B8" s="4"/>
      <c r="C8" s="4"/>
      <c r="D8" s="4"/>
      <c r="E8" s="7"/>
      <c r="F8" s="7"/>
      <c r="G8" s="7"/>
      <c r="H8" s="7"/>
      <c r="I8" s="7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3">
      <c r="A9" s="4" t="s">
        <v>49</v>
      </c>
      <c r="B9" s="4"/>
      <c r="C9" s="4"/>
      <c r="D9" s="4"/>
      <c r="E9" s="24">
        <v>600</v>
      </c>
      <c r="F9" s="7"/>
      <c r="G9" s="7"/>
      <c r="H9" s="7"/>
      <c r="I9" s="7"/>
      <c r="K9" s="11" t="s">
        <v>72</v>
      </c>
      <c r="L9" s="11"/>
      <c r="N9" s="1" t="s">
        <v>83</v>
      </c>
      <c r="O9" s="13">
        <f>IF(F22&lt;1,1000*O7*F20*F28*F7/F12, 0)</f>
        <v>0.58153846153846156</v>
      </c>
      <c r="P9" s="13">
        <f>IF(G22&lt;1,1000*P7*G20*G28*G7/G12, 0)</f>
        <v>2.8607081250000004</v>
      </c>
      <c r="Q9" s="13">
        <f>IF(H22&lt;1,1000*Q7*H20*H28*H7/H12, 0)</f>
        <v>1.27524350877193</v>
      </c>
      <c r="R9" s="13">
        <f>IF(I22&lt;1,1000*R7*I20*I28*I7/I12, 0)</f>
        <v>1.0423658666666669</v>
      </c>
    </row>
    <row r="10" spans="1:20" x14ac:dyDescent="0.3">
      <c r="A10" s="4" t="s">
        <v>145</v>
      </c>
      <c r="B10" s="4"/>
      <c r="C10" s="4"/>
      <c r="D10" s="4"/>
      <c r="E10" s="7"/>
      <c r="F10" s="24">
        <v>0.65</v>
      </c>
      <c r="G10" s="24">
        <v>0.8</v>
      </c>
      <c r="H10" s="24">
        <v>0.95</v>
      </c>
      <c r="I10" s="24">
        <v>0.75</v>
      </c>
      <c r="K10" s="15" t="s">
        <v>73</v>
      </c>
    </row>
    <row r="11" spans="1:20" x14ac:dyDescent="0.3">
      <c r="A11" s="4"/>
      <c r="B11" s="4"/>
      <c r="C11" s="4"/>
      <c r="D11" s="4"/>
      <c r="E11" s="7"/>
      <c r="F11" s="7"/>
      <c r="G11" s="7"/>
      <c r="H11" s="7"/>
      <c r="I11" s="7"/>
    </row>
    <row r="12" spans="1:20" x14ac:dyDescent="0.3">
      <c r="A12" s="4"/>
      <c r="B12" s="4" t="s">
        <v>50</v>
      </c>
      <c r="C12" s="4"/>
      <c r="D12" s="4"/>
      <c r="E12" s="7"/>
      <c r="F12" s="7">
        <f>10*$E$9*F10</f>
        <v>3900</v>
      </c>
      <c r="G12" s="7">
        <f t="shared" ref="G12:I12" si="0">10*$E$9*G10</f>
        <v>4800</v>
      </c>
      <c r="H12" s="7">
        <f t="shared" si="0"/>
        <v>5700</v>
      </c>
      <c r="I12" s="7">
        <f t="shared" si="0"/>
        <v>4500</v>
      </c>
      <c r="K12" t="s">
        <v>79</v>
      </c>
    </row>
    <row r="13" spans="1:20" x14ac:dyDescent="0.3">
      <c r="A13" s="4"/>
      <c r="B13" s="4"/>
      <c r="C13" s="4"/>
      <c r="D13" s="4"/>
      <c r="E13" s="7"/>
      <c r="F13" s="7"/>
      <c r="G13" s="7"/>
      <c r="H13" s="7"/>
      <c r="I13" s="7"/>
      <c r="K13" t="s">
        <v>80</v>
      </c>
      <c r="M13" t="s">
        <v>84</v>
      </c>
      <c r="O13">
        <f>F15/F16*O9</f>
        <v>7.310769230769231E-5</v>
      </c>
      <c r="P13">
        <f>G15/G16*P9</f>
        <v>4.5169075657894742E-4</v>
      </c>
      <c r="Q13">
        <f t="shared" ref="Q13:R13" si="1">H15/H16*Q9</f>
        <v>2.1581043994601891E-4</v>
      </c>
      <c r="R13">
        <f t="shared" si="1"/>
        <v>1.4890940952380952E-4</v>
      </c>
    </row>
    <row r="14" spans="1:20" x14ac:dyDescent="0.3">
      <c r="A14" s="4" t="s">
        <v>55</v>
      </c>
      <c r="B14" s="4"/>
      <c r="C14" s="4"/>
      <c r="D14" s="4"/>
      <c r="E14" s="24">
        <v>26500</v>
      </c>
      <c r="F14" s="8"/>
      <c r="G14" s="8"/>
      <c r="H14" s="8"/>
      <c r="I14" s="8"/>
    </row>
    <row r="15" spans="1:20" x14ac:dyDescent="0.3">
      <c r="A15" s="4" t="s">
        <v>62</v>
      </c>
      <c r="B15" s="4"/>
      <c r="C15" s="4"/>
      <c r="D15" s="6" t="s">
        <v>81</v>
      </c>
      <c r="E15" s="7"/>
      <c r="F15" s="23">
        <v>0.44</v>
      </c>
      <c r="G15" s="23">
        <v>0.3</v>
      </c>
      <c r="H15" s="23">
        <v>0.11</v>
      </c>
      <c r="I15" s="23">
        <v>0.15</v>
      </c>
    </row>
    <row r="16" spans="1:20" x14ac:dyDescent="0.3">
      <c r="A16" s="4" t="s">
        <v>63</v>
      </c>
      <c r="B16" s="4"/>
      <c r="C16" s="4"/>
      <c r="D16" s="6" t="s">
        <v>82</v>
      </c>
      <c r="E16" s="7"/>
      <c r="F16" s="24">
        <v>3500</v>
      </c>
      <c r="G16" s="24">
        <v>1900</v>
      </c>
      <c r="H16" s="24">
        <v>650</v>
      </c>
      <c r="I16" s="24">
        <v>1050</v>
      </c>
    </row>
    <row r="17" spans="1:18" x14ac:dyDescent="0.3">
      <c r="K17" s="2" t="s">
        <v>137</v>
      </c>
    </row>
    <row r="18" spans="1:18" x14ac:dyDescent="0.3">
      <c r="B18" t="s">
        <v>64</v>
      </c>
      <c r="F18" s="14">
        <f>1000*F15*$E$14/F16</f>
        <v>3331.4285714285716</v>
      </c>
      <c r="G18" s="14">
        <f t="shared" ref="G18:I18" si="2">1000*G15*$E$14/G16</f>
        <v>4184.2105263157891</v>
      </c>
      <c r="H18" s="14">
        <f t="shared" si="2"/>
        <v>4484.6153846153848</v>
      </c>
      <c r="I18" s="14">
        <f t="shared" si="2"/>
        <v>3785.7142857142858</v>
      </c>
    </row>
    <row r="19" spans="1:18" x14ac:dyDescent="0.3">
      <c r="A19" s="4"/>
      <c r="B19" s="4"/>
      <c r="C19" s="4"/>
      <c r="D19" s="4"/>
      <c r="E19" s="7"/>
      <c r="F19" s="7"/>
      <c r="G19" s="7"/>
      <c r="H19" s="7"/>
      <c r="I19" s="7"/>
      <c r="K19" s="6"/>
      <c r="O19" s="6" t="s">
        <v>44</v>
      </c>
      <c r="P19" s="6" t="s">
        <v>45</v>
      </c>
      <c r="Q19" s="6" t="s">
        <v>46</v>
      </c>
      <c r="R19" s="6" t="s">
        <v>47</v>
      </c>
    </row>
    <row r="20" spans="1:18" x14ac:dyDescent="0.3">
      <c r="A20" s="4" t="s">
        <v>146</v>
      </c>
      <c r="B20" s="4"/>
      <c r="C20" s="4"/>
      <c r="D20" s="4"/>
      <c r="E20" s="7"/>
      <c r="F20" s="23">
        <v>1.08</v>
      </c>
      <c r="G20" s="23">
        <v>1.06</v>
      </c>
      <c r="H20" s="23">
        <v>1.1000000000000001</v>
      </c>
      <c r="I20" s="23">
        <v>0.86</v>
      </c>
      <c r="K20" t="s">
        <v>121</v>
      </c>
      <c r="O20" s="25">
        <v>10</v>
      </c>
      <c r="P20" s="25">
        <v>70</v>
      </c>
      <c r="Q20" s="25">
        <v>90</v>
      </c>
      <c r="R20" s="25">
        <v>35</v>
      </c>
    </row>
    <row r="21" spans="1:18" x14ac:dyDescent="0.3">
      <c r="A21" s="4"/>
      <c r="B21" s="4"/>
      <c r="C21" s="4"/>
      <c r="D21" s="4"/>
      <c r="E21" s="7"/>
      <c r="F21" s="9"/>
      <c r="G21" s="9"/>
      <c r="H21" s="9"/>
      <c r="I21" s="9"/>
      <c r="K21" t="s">
        <v>122</v>
      </c>
      <c r="O21" s="31">
        <v>875</v>
      </c>
      <c r="P21" s="31">
        <v>475</v>
      </c>
      <c r="Q21" s="31">
        <v>162.5</v>
      </c>
      <c r="R21" s="31">
        <v>262.5</v>
      </c>
    </row>
    <row r="22" spans="1:18" x14ac:dyDescent="0.3">
      <c r="A22" s="4"/>
      <c r="B22" s="4" t="s">
        <v>51</v>
      </c>
      <c r="C22" s="4"/>
      <c r="D22" s="4"/>
      <c r="E22" s="7"/>
      <c r="F22" s="9">
        <f>MIN(1, 1-F20*(1-F18/F12))</f>
        <v>0.84254945054945063</v>
      </c>
      <c r="G22" s="9">
        <f t="shared" ref="G22:I22" si="3">MIN(1, 1-G20*(1-G18/G12))</f>
        <v>0.86401315789473676</v>
      </c>
      <c r="H22" s="9">
        <f t="shared" si="3"/>
        <v>0.7654520917678812</v>
      </c>
      <c r="I22" s="9">
        <f t="shared" si="3"/>
        <v>0.86349206349206353</v>
      </c>
      <c r="K22" t="s">
        <v>123</v>
      </c>
      <c r="O22" s="31">
        <v>7000</v>
      </c>
      <c r="P22" s="31">
        <v>3800</v>
      </c>
      <c r="Q22" s="31">
        <v>1300</v>
      </c>
      <c r="R22" s="31">
        <v>2100</v>
      </c>
    </row>
    <row r="24" spans="1:18" x14ac:dyDescent="0.3">
      <c r="A24" s="4" t="s">
        <v>147</v>
      </c>
      <c r="B24" s="4"/>
      <c r="C24" s="4"/>
      <c r="D24" s="4"/>
      <c r="E24" s="7"/>
      <c r="F24" s="23">
        <v>-6.96</v>
      </c>
      <c r="G24" s="23">
        <v>-10.559999999999999</v>
      </c>
      <c r="H24" s="23">
        <v>-14.16</v>
      </c>
      <c r="I24" s="23">
        <v>-22.8</v>
      </c>
      <c r="K24" t="s">
        <v>67</v>
      </c>
      <c r="O24" s="25">
        <v>130</v>
      </c>
      <c r="P24" s="25">
        <v>250</v>
      </c>
      <c r="Q24" s="25">
        <v>80</v>
      </c>
      <c r="R24" s="25">
        <v>180</v>
      </c>
    </row>
    <row r="25" spans="1:18" x14ac:dyDescent="0.3">
      <c r="A25" s="4" t="s">
        <v>52</v>
      </c>
      <c r="B25" s="4"/>
      <c r="C25" s="4"/>
      <c r="D25" s="4"/>
      <c r="E25" s="7"/>
      <c r="F25" s="23">
        <v>126.45</v>
      </c>
      <c r="G25" s="23">
        <v>118.5</v>
      </c>
      <c r="H25" s="23">
        <v>115.169</v>
      </c>
      <c r="I25" s="23">
        <v>151.608</v>
      </c>
      <c r="K25" t="s">
        <v>68</v>
      </c>
      <c r="O25" s="25">
        <v>300</v>
      </c>
      <c r="P25" s="25">
        <v>1500</v>
      </c>
      <c r="Q25" s="25">
        <v>400</v>
      </c>
      <c r="R25" s="25">
        <v>800</v>
      </c>
    </row>
    <row r="26" spans="1:18" x14ac:dyDescent="0.3">
      <c r="A26" s="4" t="s">
        <v>148</v>
      </c>
      <c r="B26" s="4"/>
      <c r="C26" s="4"/>
      <c r="D26" s="4"/>
      <c r="E26" s="23">
        <v>2.2999999999999998</v>
      </c>
      <c r="F26" s="7"/>
      <c r="G26" s="7"/>
      <c r="H26" s="7"/>
      <c r="I26" s="7"/>
      <c r="O26" s="17"/>
      <c r="P26" s="17"/>
      <c r="Q26" s="17"/>
      <c r="R26" s="17"/>
    </row>
    <row r="27" spans="1:18" x14ac:dyDescent="0.3">
      <c r="A27" s="4"/>
      <c r="B27" s="4"/>
      <c r="C27" s="4"/>
      <c r="D27" s="4"/>
      <c r="E27" s="7"/>
      <c r="F27" s="7"/>
      <c r="G27" s="7"/>
      <c r="H27" s="7"/>
      <c r="I27" s="7"/>
      <c r="K27" t="s">
        <v>70</v>
      </c>
      <c r="O27" s="26">
        <v>1.1000000000000001</v>
      </c>
      <c r="P27" s="17"/>
      <c r="Q27" s="17"/>
      <c r="R27" s="17"/>
    </row>
    <row r="28" spans="1:18" x14ac:dyDescent="0.3">
      <c r="A28" s="4"/>
      <c r="B28" s="4" t="s">
        <v>53</v>
      </c>
      <c r="C28" s="4"/>
      <c r="D28" s="4"/>
      <c r="E28" s="7"/>
      <c r="F28" s="10">
        <f>MIN(1, (F24*$E$26+F25)/100)</f>
        <v>1</v>
      </c>
      <c r="G28" s="10">
        <f t="shared" ref="G28:I28" si="4">MIN(1, (G24*$E$26+G25)/100)</f>
        <v>0.94212000000000007</v>
      </c>
      <c r="H28" s="10">
        <f t="shared" si="4"/>
        <v>0.82601000000000002</v>
      </c>
      <c r="I28" s="10">
        <f t="shared" si="4"/>
        <v>0.99168000000000012</v>
      </c>
      <c r="K28" t="s">
        <v>69</v>
      </c>
      <c r="O28" s="26">
        <v>1</v>
      </c>
      <c r="P28" s="17"/>
      <c r="Q28" s="17"/>
      <c r="R28" s="17"/>
    </row>
    <row r="29" spans="1:18" x14ac:dyDescent="0.3">
      <c r="A29" s="4"/>
      <c r="B29" s="4"/>
      <c r="C29" s="4"/>
      <c r="D29" s="4"/>
      <c r="E29" s="7"/>
      <c r="F29" s="7"/>
      <c r="G29" s="7"/>
      <c r="H29" s="7"/>
      <c r="I29" s="7"/>
    </row>
    <row r="30" spans="1:18" x14ac:dyDescent="0.3">
      <c r="A30" s="4"/>
      <c r="B30" s="11" t="s">
        <v>66</v>
      </c>
      <c r="C30" s="11"/>
      <c r="D30" s="11"/>
      <c r="E30" s="12"/>
      <c r="F30" s="13">
        <f>F7*F22*F28</f>
        <v>5.0552967032967038</v>
      </c>
      <c r="G30" s="13">
        <f>G7*G22*G28</f>
        <v>20.350101907894736</v>
      </c>
      <c r="H30" s="13">
        <f>H7*H22*H28</f>
        <v>25.290843292847502</v>
      </c>
      <c r="I30" s="13">
        <f>I7*I22*I28</f>
        <v>4.2815390476190487</v>
      </c>
      <c r="K30" t="s">
        <v>141</v>
      </c>
    </row>
    <row r="31" spans="1:18" x14ac:dyDescent="0.3">
      <c r="A31" s="4"/>
      <c r="B31" s="4"/>
      <c r="C31" s="4"/>
      <c r="D31" s="4"/>
      <c r="E31" s="7"/>
      <c r="F31" s="7"/>
      <c r="G31" s="7"/>
      <c r="H31" s="7"/>
      <c r="I31" s="7"/>
      <c r="K31" t="s">
        <v>138</v>
      </c>
      <c r="O31" s="14">
        <f>SUM(F16:I16)</f>
        <v>7100</v>
      </c>
    </row>
    <row r="32" spans="1:18" x14ac:dyDescent="0.3">
      <c r="K32" t="s">
        <v>139</v>
      </c>
      <c r="O32" s="18">
        <f>(O20*F16+P20*G16+Q20*H16+R20*I16)/1000</f>
        <v>263.25</v>
      </c>
    </row>
    <row r="33" spans="11:15" x14ac:dyDescent="0.3">
      <c r="K33" t="s">
        <v>140</v>
      </c>
      <c r="O33" s="14">
        <f xml:space="preserve"> 0.75 * (F16*F18+G16*G18+H16*H18+I16*I18)/1000</f>
        <v>19875</v>
      </c>
    </row>
  </sheetData>
  <sheetProtection algorithmName="SHA-512" hashValue="1qsrO/teyeS9fZq2Bo4fcJStPw1lzbfhlXkuIgTEthCe+Gr1x9G58bMmuLxFn3IxHVzRFeyOC/jOFLRdk7VT1w==" saltValue="Oh/cRMzq5aJPUyFmZ67BX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workbookViewId="0"/>
  </sheetViews>
  <sheetFormatPr defaultRowHeight="14.4" x14ac:dyDescent="0.3"/>
  <cols>
    <col min="1" max="1" width="16.6640625" customWidth="1"/>
    <col min="3" max="3" width="10.6640625" customWidth="1"/>
    <col min="5" max="5" width="20.6640625" customWidth="1"/>
    <col min="6" max="8" width="10.6640625" customWidth="1"/>
    <col min="13" max="17" width="10.6640625" customWidth="1"/>
  </cols>
  <sheetData>
    <row r="1" spans="1:17" x14ac:dyDescent="0.3">
      <c r="A1" t="s">
        <v>1</v>
      </c>
    </row>
    <row r="3" spans="1:17" x14ac:dyDescent="0.3">
      <c r="A3" s="2" t="s">
        <v>6</v>
      </c>
      <c r="E3" s="2" t="s">
        <v>11</v>
      </c>
      <c r="J3" s="2" t="s">
        <v>2</v>
      </c>
    </row>
    <row r="4" spans="1:17" x14ac:dyDescent="0.3">
      <c r="A4" t="s">
        <v>7</v>
      </c>
      <c r="B4" s="1" t="s">
        <v>9</v>
      </c>
      <c r="C4" s="27">
        <v>1</v>
      </c>
      <c r="E4" t="s">
        <v>90</v>
      </c>
      <c r="F4" s="1" t="s">
        <v>74</v>
      </c>
      <c r="G4" s="20">
        <f>C4*N28+C5*O28+C6*P28+C7*Q28</f>
        <v>19.025771506446404</v>
      </c>
      <c r="J4" t="s">
        <v>3</v>
      </c>
      <c r="M4" s="14">
        <f>Dat!O31</f>
        <v>7100</v>
      </c>
    </row>
    <row r="5" spans="1:17" x14ac:dyDescent="0.3">
      <c r="A5" t="s">
        <v>8</v>
      </c>
      <c r="B5" s="1" t="s">
        <v>10</v>
      </c>
      <c r="C5" s="27">
        <v>1</v>
      </c>
      <c r="G5" s="1"/>
      <c r="J5" t="s">
        <v>59</v>
      </c>
      <c r="M5" s="18">
        <f>Dat!O32</f>
        <v>263.25</v>
      </c>
    </row>
    <row r="6" spans="1:17" x14ac:dyDescent="0.3">
      <c r="A6" t="s">
        <v>25</v>
      </c>
      <c r="B6" s="1" t="s">
        <v>26</v>
      </c>
      <c r="C6" s="27">
        <v>1</v>
      </c>
      <c r="E6" s="2" t="s">
        <v>12</v>
      </c>
      <c r="J6" t="s">
        <v>56</v>
      </c>
      <c r="M6" s="14">
        <f>Dat!O33</f>
        <v>19875</v>
      </c>
    </row>
    <row r="7" spans="1:17" x14ac:dyDescent="0.3">
      <c r="A7" t="s">
        <v>31</v>
      </c>
      <c r="B7" s="1" t="s">
        <v>32</v>
      </c>
      <c r="C7" s="27">
        <v>1</v>
      </c>
      <c r="E7" t="s">
        <v>14</v>
      </c>
      <c r="F7" s="20">
        <f>SUM(C4:C7)</f>
        <v>4</v>
      </c>
      <c r="G7" s="1" t="s">
        <v>0</v>
      </c>
      <c r="H7" s="20">
        <f>M4</f>
        <v>7100</v>
      </c>
    </row>
    <row r="8" spans="1:17" x14ac:dyDescent="0.3">
      <c r="A8" t="s">
        <v>21</v>
      </c>
      <c r="B8" s="1" t="s">
        <v>22</v>
      </c>
      <c r="C8" s="27">
        <v>1</v>
      </c>
      <c r="E8" t="s">
        <v>15</v>
      </c>
      <c r="F8" s="20">
        <f>SUM(C8:C11)</f>
        <v>4</v>
      </c>
      <c r="G8" s="1" t="s">
        <v>0</v>
      </c>
      <c r="H8" s="20">
        <f>M5</f>
        <v>263.25</v>
      </c>
    </row>
    <row r="9" spans="1:17" x14ac:dyDescent="0.3">
      <c r="A9" t="s">
        <v>23</v>
      </c>
      <c r="B9" s="1" t="s">
        <v>24</v>
      </c>
      <c r="C9" s="27">
        <v>1</v>
      </c>
      <c r="E9" t="s">
        <v>16</v>
      </c>
      <c r="F9" s="20">
        <f>SUM(C12:C15)</f>
        <v>4</v>
      </c>
      <c r="G9" s="1" t="s">
        <v>0</v>
      </c>
      <c r="H9" s="20">
        <f>M6</f>
        <v>19875</v>
      </c>
      <c r="J9" s="2" t="s">
        <v>61</v>
      </c>
      <c r="N9" s="16" t="s">
        <v>5</v>
      </c>
      <c r="O9" s="16" t="s">
        <v>4</v>
      </c>
      <c r="P9" s="16" t="s">
        <v>38</v>
      </c>
      <c r="Q9" s="16" t="s">
        <v>39</v>
      </c>
    </row>
    <row r="10" spans="1:17" x14ac:dyDescent="0.3">
      <c r="A10" t="s">
        <v>29</v>
      </c>
      <c r="B10" s="1" t="s">
        <v>30</v>
      </c>
      <c r="C10" s="27">
        <v>1</v>
      </c>
      <c r="E10" t="s">
        <v>17</v>
      </c>
      <c r="F10" s="20">
        <f>C12</f>
        <v>1</v>
      </c>
      <c r="G10" s="1" t="s">
        <v>37</v>
      </c>
      <c r="H10" s="20">
        <f>N13*C4/1000</f>
        <v>3.3314285714285714</v>
      </c>
    </row>
    <row r="11" spans="1:17" x14ac:dyDescent="0.3">
      <c r="A11" t="s">
        <v>35</v>
      </c>
      <c r="B11" s="1" t="s">
        <v>36</v>
      </c>
      <c r="C11" s="27">
        <v>1</v>
      </c>
      <c r="E11" t="s">
        <v>20</v>
      </c>
      <c r="F11" s="20">
        <f>C13</f>
        <v>1</v>
      </c>
      <c r="G11" s="1" t="s">
        <v>37</v>
      </c>
      <c r="H11" s="20">
        <f>O13*C5/1000</f>
        <v>4.1842105263157894</v>
      </c>
      <c r="K11" s="2" t="s">
        <v>42</v>
      </c>
    </row>
    <row r="12" spans="1:17" x14ac:dyDescent="0.3">
      <c r="A12" t="s">
        <v>17</v>
      </c>
      <c r="B12" s="1" t="s">
        <v>18</v>
      </c>
      <c r="C12" s="27">
        <v>1</v>
      </c>
      <c r="E12" t="s">
        <v>27</v>
      </c>
      <c r="F12" s="20">
        <f>C14</f>
        <v>1</v>
      </c>
      <c r="G12" s="1" t="s">
        <v>37</v>
      </c>
      <c r="H12" s="20">
        <f>P13*C6/1000</f>
        <v>4.4846153846153847</v>
      </c>
      <c r="K12" t="s">
        <v>57</v>
      </c>
      <c r="N12" s="18">
        <f>Dat!F30</f>
        <v>5.0552967032967038</v>
      </c>
      <c r="O12" s="18">
        <f>Dat!G30</f>
        <v>20.350101907894736</v>
      </c>
      <c r="P12" s="18">
        <f>Dat!H30</f>
        <v>25.290843292847502</v>
      </c>
      <c r="Q12" s="18">
        <f>Dat!I30</f>
        <v>4.2815390476190487</v>
      </c>
    </row>
    <row r="13" spans="1:17" x14ac:dyDescent="0.3">
      <c r="A13" t="s">
        <v>20</v>
      </c>
      <c r="B13" s="1" t="s">
        <v>19</v>
      </c>
      <c r="C13" s="27">
        <v>1</v>
      </c>
      <c r="E13" t="s">
        <v>33</v>
      </c>
      <c r="F13" s="20">
        <f>C15</f>
        <v>1</v>
      </c>
      <c r="G13" s="1" t="s">
        <v>37</v>
      </c>
      <c r="H13" s="20">
        <f>Q13*C7/1000</f>
        <v>3.7857142857142856</v>
      </c>
      <c r="K13" t="s">
        <v>58</v>
      </c>
      <c r="N13" s="14">
        <f>Dat!F18</f>
        <v>3331.4285714285716</v>
      </c>
      <c r="O13" s="14">
        <f>Dat!G18</f>
        <v>4184.2105263157891</v>
      </c>
      <c r="P13" s="14">
        <f>Dat!H18</f>
        <v>4484.6153846153848</v>
      </c>
      <c r="Q13" s="14">
        <f>Dat!I18</f>
        <v>3785.7142857142858</v>
      </c>
    </row>
    <row r="14" spans="1:17" x14ac:dyDescent="0.3">
      <c r="A14" t="s">
        <v>27</v>
      </c>
      <c r="B14" s="1" t="s">
        <v>28</v>
      </c>
      <c r="C14" s="27">
        <v>1</v>
      </c>
      <c r="E14" t="s">
        <v>128</v>
      </c>
      <c r="F14" s="20">
        <f>C8</f>
        <v>1</v>
      </c>
      <c r="G14" s="1" t="s">
        <v>37</v>
      </c>
      <c r="H14" s="20">
        <f>N22*C4/1000</f>
        <v>0.01</v>
      </c>
      <c r="N14" s="18"/>
      <c r="O14" s="18"/>
      <c r="P14" s="18"/>
      <c r="Q14" s="18"/>
    </row>
    <row r="15" spans="1:17" x14ac:dyDescent="0.3">
      <c r="A15" t="s">
        <v>33</v>
      </c>
      <c r="B15" s="1" t="s">
        <v>34</v>
      </c>
      <c r="C15" s="27">
        <v>1</v>
      </c>
      <c r="E15" t="s">
        <v>129</v>
      </c>
      <c r="F15" s="20">
        <f>C9</f>
        <v>1</v>
      </c>
      <c r="G15" s="1" t="s">
        <v>37</v>
      </c>
      <c r="H15" s="20">
        <f>O22*C5/1000</f>
        <v>7.0000000000000007E-2</v>
      </c>
      <c r="K15" s="2" t="s">
        <v>60</v>
      </c>
      <c r="N15" s="18">
        <f>Dat!O7</f>
        <v>0.35</v>
      </c>
      <c r="O15" s="18">
        <f>Dat!P7</f>
        <v>0.55000000000000004</v>
      </c>
      <c r="P15" s="18">
        <f>Dat!Q7</f>
        <v>0.2</v>
      </c>
      <c r="Q15" s="18">
        <f>Dat!R7</f>
        <v>1.1000000000000001</v>
      </c>
    </row>
    <row r="16" spans="1:17" x14ac:dyDescent="0.3">
      <c r="B16" s="1"/>
      <c r="C16" s="1"/>
      <c r="E16" t="s">
        <v>130</v>
      </c>
      <c r="F16" s="20">
        <f>C10</f>
        <v>1</v>
      </c>
      <c r="G16" s="1" t="s">
        <v>37</v>
      </c>
      <c r="H16" s="20">
        <f>P22*C6/1000</f>
        <v>0.09</v>
      </c>
      <c r="N16" s="18"/>
      <c r="O16" s="18"/>
      <c r="P16" s="18"/>
      <c r="Q16" s="18"/>
    </row>
    <row r="17" spans="2:17" x14ac:dyDescent="0.3">
      <c r="B17" s="1"/>
      <c r="C17" s="1"/>
      <c r="E17" t="s">
        <v>131</v>
      </c>
      <c r="F17" s="20">
        <f>C11</f>
        <v>1</v>
      </c>
      <c r="G17" s="1" t="s">
        <v>37</v>
      </c>
      <c r="H17" s="20">
        <f>Q22*C7/1000</f>
        <v>3.5000000000000003E-2</v>
      </c>
      <c r="K17" s="2" t="s">
        <v>13</v>
      </c>
      <c r="N17" s="18"/>
      <c r="O17" s="18"/>
      <c r="P17" s="18"/>
      <c r="Q17" s="18"/>
    </row>
    <row r="18" spans="2:17" x14ac:dyDescent="0.3">
      <c r="B18" s="1"/>
      <c r="C18" s="1"/>
      <c r="E18" t="s">
        <v>132</v>
      </c>
      <c r="F18" s="20">
        <f>C8</f>
        <v>1</v>
      </c>
      <c r="G18" s="1" t="s">
        <v>37</v>
      </c>
      <c r="H18">
        <f>(1+(C4-N23)/N24)*N22*C4/1000</f>
        <v>8.7514285714285715E-3</v>
      </c>
      <c r="L18" t="s">
        <v>40</v>
      </c>
      <c r="N18" s="14">
        <f>Dat!O24*Dat!$O$27</f>
        <v>143</v>
      </c>
      <c r="O18" s="14">
        <f>Dat!P24*Dat!$O$27</f>
        <v>275</v>
      </c>
      <c r="P18" s="14">
        <f>Dat!Q24*Dat!$O$27</f>
        <v>88</v>
      </c>
      <c r="Q18" s="14">
        <f>Dat!R24*Dat!$O$27</f>
        <v>198.00000000000003</v>
      </c>
    </row>
    <row r="19" spans="2:17" x14ac:dyDescent="0.3">
      <c r="B19" s="1"/>
      <c r="C19" s="1"/>
      <c r="E19" t="s">
        <v>133</v>
      </c>
      <c r="F19" s="20">
        <f>C9</f>
        <v>1</v>
      </c>
      <c r="G19" s="1" t="s">
        <v>37</v>
      </c>
      <c r="H19">
        <f>(1+(C5-O23)/O24)*O22*C5/1000</f>
        <v>6.1268421052631583E-2</v>
      </c>
      <c r="L19" t="s">
        <v>41</v>
      </c>
      <c r="N19" s="14">
        <f>Dat!O25*Dat!$O$28</f>
        <v>300</v>
      </c>
      <c r="O19" s="14">
        <f>Dat!P25*Dat!$O$28</f>
        <v>1500</v>
      </c>
      <c r="P19" s="14">
        <f>Dat!Q25*Dat!$O$28</f>
        <v>400</v>
      </c>
      <c r="Q19" s="14">
        <f>Dat!R25*Dat!$O$28</f>
        <v>800</v>
      </c>
    </row>
    <row r="20" spans="2:17" x14ac:dyDescent="0.3">
      <c r="B20" s="1"/>
      <c r="C20" s="1"/>
      <c r="E20" t="s">
        <v>134</v>
      </c>
      <c r="F20" s="20">
        <f>C10</f>
        <v>1</v>
      </c>
      <c r="G20" s="1" t="s">
        <v>37</v>
      </c>
      <c r="H20">
        <f>(1+(C6-P23)/P24)*P22*C6/1000</f>
        <v>7.8819230769230766E-2</v>
      </c>
      <c r="N20" s="14"/>
      <c r="O20" s="14"/>
      <c r="P20" s="14"/>
      <c r="Q20" s="14"/>
    </row>
    <row r="21" spans="2:17" x14ac:dyDescent="0.3">
      <c r="B21" s="1"/>
      <c r="C21" s="1"/>
      <c r="E21" t="s">
        <v>135</v>
      </c>
      <c r="F21" s="20">
        <f>C11</f>
        <v>1</v>
      </c>
      <c r="G21" s="1" t="s">
        <v>37</v>
      </c>
      <c r="H21">
        <f>(1+(C7-Q23)/Q24)*Q22*C7/1000</f>
        <v>3.0641666666666668E-2</v>
      </c>
      <c r="K21" s="2" t="s">
        <v>125</v>
      </c>
    </row>
    <row r="22" spans="2:17" x14ac:dyDescent="0.3">
      <c r="B22" s="1"/>
      <c r="C22" s="1"/>
      <c r="K22" t="s">
        <v>124</v>
      </c>
      <c r="N22" s="14">
        <f>Dat!O20</f>
        <v>10</v>
      </c>
      <c r="O22" s="14">
        <f>Dat!P20</f>
        <v>70</v>
      </c>
      <c r="P22" s="14">
        <f>Dat!Q20</f>
        <v>90</v>
      </c>
      <c r="Q22" s="14">
        <f>Dat!R20</f>
        <v>35</v>
      </c>
    </row>
    <row r="23" spans="2:17" x14ac:dyDescent="0.3">
      <c r="K23" t="s">
        <v>126</v>
      </c>
      <c r="N23" s="14">
        <f>Dat!O21</f>
        <v>875</v>
      </c>
      <c r="O23" s="14">
        <f>Dat!P21</f>
        <v>475</v>
      </c>
      <c r="P23" s="14">
        <f>Dat!Q21</f>
        <v>162.5</v>
      </c>
      <c r="Q23" s="14">
        <f>Dat!R21</f>
        <v>262.5</v>
      </c>
    </row>
    <row r="24" spans="2:17" x14ac:dyDescent="0.3">
      <c r="K24" t="s">
        <v>127</v>
      </c>
      <c r="N24" s="14">
        <f>Dat!O22</f>
        <v>7000</v>
      </c>
      <c r="O24" s="14">
        <f>Dat!P22</f>
        <v>3800</v>
      </c>
      <c r="P24" s="14">
        <f>Dat!Q22</f>
        <v>1300</v>
      </c>
      <c r="Q24" s="14">
        <f>Dat!R22</f>
        <v>2100</v>
      </c>
    </row>
    <row r="26" spans="2:17" x14ac:dyDescent="0.3">
      <c r="K26" t="s">
        <v>76</v>
      </c>
    </row>
    <row r="27" spans="2:17" x14ac:dyDescent="0.3">
      <c r="K27" t="s">
        <v>142</v>
      </c>
    </row>
    <row r="28" spans="2:17" x14ac:dyDescent="0.3">
      <c r="K28" t="s">
        <v>75</v>
      </c>
      <c r="N28" s="19">
        <f>N12*N15-(N18+N19)/1000</f>
        <v>1.3263538461538462</v>
      </c>
      <c r="O28" s="19">
        <f>O12*O15-(O18+O19)/1000</f>
        <v>9.4175560493421049</v>
      </c>
      <c r="P28" s="19">
        <f>P12*P15-(P18+P19)/1000</f>
        <v>4.5701686585695001</v>
      </c>
      <c r="Q28" s="19">
        <f>Q12*Q15-(Q18+Q19)/1000</f>
        <v>3.7116929523809539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0"/>
  <sheetViews>
    <sheetView workbookViewId="0"/>
  </sheetViews>
  <sheetFormatPr defaultRowHeight="14.4" x14ac:dyDescent="0.3"/>
  <sheetData>
    <row r="2" spans="1:9" x14ac:dyDescent="0.3">
      <c r="A2" t="s">
        <v>85</v>
      </c>
      <c r="B2" s="1"/>
      <c r="C2" s="1"/>
      <c r="D2" s="1"/>
      <c r="F2" s="15" t="s">
        <v>86</v>
      </c>
      <c r="G2" s="15"/>
      <c r="H2" s="15"/>
      <c r="I2" s="15"/>
    </row>
    <row r="3" spans="1:9" x14ac:dyDescent="0.3">
      <c r="F3" s="15"/>
      <c r="G3" s="15"/>
      <c r="H3" s="15"/>
      <c r="I3" s="15"/>
    </row>
    <row r="4" spans="1:9" x14ac:dyDescent="0.3">
      <c r="A4" t="s">
        <v>77</v>
      </c>
      <c r="F4" s="15" t="s">
        <v>87</v>
      </c>
      <c r="G4" s="15"/>
      <c r="H4" s="15"/>
      <c r="I4" s="22">
        <f>D5*Dat!O13+D6*Dat!P13+D7*Dat!Q13+D8*Dat!R13</f>
        <v>0.88951829835646812</v>
      </c>
    </row>
    <row r="5" spans="1:9" x14ac:dyDescent="0.3">
      <c r="A5" s="21" t="s">
        <v>5</v>
      </c>
      <c r="D5" s="28">
        <v>1000</v>
      </c>
      <c r="F5" s="15" t="s">
        <v>88</v>
      </c>
      <c r="G5" s="15"/>
      <c r="H5" s="15"/>
      <c r="I5" s="22">
        <f>D10</f>
        <v>1</v>
      </c>
    </row>
    <row r="6" spans="1:9" x14ac:dyDescent="0.3">
      <c r="A6" s="21" t="s">
        <v>4</v>
      </c>
      <c r="D6" s="28">
        <v>1000</v>
      </c>
      <c r="F6" s="15"/>
      <c r="G6" s="15"/>
      <c r="H6" s="15"/>
      <c r="I6" s="15"/>
    </row>
    <row r="7" spans="1:9" x14ac:dyDescent="0.3">
      <c r="A7" s="21" t="s">
        <v>38</v>
      </c>
      <c r="D7" s="28">
        <v>1000</v>
      </c>
      <c r="F7" s="15" t="s">
        <v>89</v>
      </c>
      <c r="G7" s="15"/>
      <c r="H7" s="15"/>
      <c r="I7" s="22">
        <f>I4+I5</f>
        <v>1.8895182983564682</v>
      </c>
    </row>
    <row r="8" spans="1:9" x14ac:dyDescent="0.3">
      <c r="A8" s="21" t="s">
        <v>39</v>
      </c>
      <c r="D8" s="28">
        <v>1000</v>
      </c>
    </row>
    <row r="10" spans="1:9" x14ac:dyDescent="0.3">
      <c r="A10" t="s">
        <v>78</v>
      </c>
      <c r="D10" s="29">
        <v>1</v>
      </c>
    </row>
  </sheetData>
  <sheetProtection algorithmName="SHA-512" hashValue="zgb0CD/LvnPpQxJgd68iia0HNTwAxCc4/4Bo/y23VrxgBIJap90maUalwfF1tUDfJLirb+3zzDjWO9z91K9fGA==" saltValue="xybNF8XdVGcI7YpZ9bPTu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Dat</vt:lpstr>
      <vt:lpstr>FarmModel</vt:lpstr>
      <vt:lpstr>Shadowprice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2021-03-08T12:35:32Z</dcterms:created>
  <dcterms:modified xsi:type="dcterms:W3CDTF">2021-07-22T17:12:04Z</dcterms:modified>
</cp:coreProperties>
</file>